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3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Elektro Camping/Videos/01 - Aufnahmen/2021_0924_Verbrenner_vs_E-Auto/"/>
    </mc:Choice>
  </mc:AlternateContent>
  <xr:revisionPtr revIDLastSave="0" documentId="13_ncr:1_{FE816044-0284-6A48-88CA-46402D8C3CD2}" xr6:coauthVersionLast="47" xr6:coauthVersionMax="47" xr10:uidLastSave="{00000000-0000-0000-0000-000000000000}"/>
  <bookViews>
    <workbookView xWindow="0" yWindow="500" windowWidth="38400" windowHeight="21960" activeTab="1" xr2:uid="{932C1028-2934-2944-A40C-661BBA56C620}"/>
  </bookViews>
  <sheets>
    <sheet name="Zeitaufwand" sheetId="1" r:id="rId1"/>
    <sheet name="Koste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  <c r="F19" i="1"/>
  <c r="C13" i="1"/>
  <c r="G13" i="2"/>
  <c r="A14" i="2"/>
  <c r="A12" i="2"/>
  <c r="A8" i="2"/>
  <c r="H8" i="1" l="1"/>
  <c r="I8" i="1" s="1"/>
  <c r="B19" i="1"/>
  <c r="B16" i="1"/>
  <c r="C16" i="1" s="1"/>
  <c r="B12" i="2" s="1"/>
  <c r="D8" i="1"/>
  <c r="B8" i="2" s="1"/>
  <c r="D8" i="2" s="1"/>
  <c r="F8" i="1"/>
  <c r="C19" i="1" l="1"/>
  <c r="D19" i="1" s="1"/>
  <c r="E12" i="2"/>
  <c r="D16" i="1"/>
  <c r="D13" i="1"/>
  <c r="E13" i="1" s="1"/>
  <c r="D12" i="2" l="1"/>
  <c r="G12" i="2"/>
  <c r="B14" i="2"/>
  <c r="G13" i="1"/>
  <c r="H13" i="1" s="1"/>
  <c r="E19" i="1"/>
  <c r="G19" i="1" s="1"/>
  <c r="H19" i="1" s="1"/>
  <c r="E16" i="1"/>
  <c r="D14" i="2" l="1"/>
  <c r="G14" i="2"/>
  <c r="E14" i="2"/>
  <c r="A17" i="2"/>
  <c r="B17" i="2" s="1"/>
  <c r="C17" i="2" s="1"/>
  <c r="G17" i="2" s="1"/>
  <c r="G16" i="1"/>
  <c r="H16" i="1" s="1"/>
  <c r="H21" i="1" l="1"/>
  <c r="G19" i="2"/>
  <c r="G20" i="2" s="1"/>
  <c r="H22" i="1" l="1"/>
  <c r="I22" i="1" s="1"/>
  <c r="G22" i="2" l="1"/>
</calcChain>
</file>

<file path=xl/sharedStrings.xml><?xml version="1.0" encoding="utf-8"?>
<sst xmlns="http://schemas.openxmlformats.org/spreadsheetml/2006/main" count="71" uniqueCount="45">
  <si>
    <t>E-Auto</t>
  </si>
  <si>
    <t>Wochen/Jahr</t>
  </si>
  <si>
    <t>km/Jahr</t>
  </si>
  <si>
    <t>Tanken/Woche</t>
  </si>
  <si>
    <t>Dieselpreis</t>
  </si>
  <si>
    <t>Tankosten</t>
  </si>
  <si>
    <t>Strompreis</t>
  </si>
  <si>
    <t>Verbrauch in Liter/100km</t>
  </si>
  <si>
    <t>Verbrauch in kWh/100km</t>
  </si>
  <si>
    <t>Urlaub 1</t>
  </si>
  <si>
    <t>Ladepausen</t>
  </si>
  <si>
    <t>Urlaub 2</t>
  </si>
  <si>
    <t>Skifahren ins Stubaital (Österreich)</t>
  </si>
  <si>
    <t>Urlaub 3</t>
  </si>
  <si>
    <t>Pfingsturlaub in Pula (Kroatien)</t>
  </si>
  <si>
    <t>Gesamt</t>
  </si>
  <si>
    <t>Sommerurlaub in Calpe (Spanien)</t>
  </si>
  <si>
    <t>Abzügl. Urlaub 1</t>
  </si>
  <si>
    <t>Abzügl. Urlaub 2&amp;3</t>
  </si>
  <si>
    <t>Verbrauch in kWh</t>
  </si>
  <si>
    <t>Stundenlohn</t>
  </si>
  <si>
    <t>Reichweite in km</t>
  </si>
  <si>
    <t>Tankvolumen in Liter</t>
  </si>
  <si>
    <t>Zeit/Tankvorgang in Std</t>
  </si>
  <si>
    <t>Zeitaufwand/Jahr in Std</t>
  </si>
  <si>
    <t>Ladekosten</t>
  </si>
  <si>
    <t>Netzstrom</t>
  </si>
  <si>
    <t>Sonnenstrom</t>
  </si>
  <si>
    <t>in Std/Min</t>
  </si>
  <si>
    <t>Kosten bei Ionity (€ 0,79 / kWh)</t>
  </si>
  <si>
    <t>Strecke in km</t>
  </si>
  <si>
    <t>Reichweite WLTP in km</t>
  </si>
  <si>
    <t>Reichweite real (10-80%) in km</t>
  </si>
  <si>
    <t>Zeitaufwand pro Ladung in Std</t>
  </si>
  <si>
    <t>Zeitaufwand in Std</t>
  </si>
  <si>
    <t>Geladene Urlaubs-km</t>
  </si>
  <si>
    <t>E-Auto (Mercedes EQV 90kWh)</t>
  </si>
  <si>
    <t>17:56</t>
  </si>
  <si>
    <t>8:27</t>
  </si>
  <si>
    <t>Fahrtzeit:</t>
  </si>
  <si>
    <t>Mehr-Zeitaufwand in Std</t>
  </si>
  <si>
    <t>Reichweite real (ca. 63%) in km</t>
  </si>
  <si>
    <t>Reichweite real (ca. 77%) in km</t>
  </si>
  <si>
    <t>4:13</t>
  </si>
  <si>
    <t>Verbrenner (Volkswagen T5.2 4-Motion)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</si>
</sst>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00\ &quot;€&quot;"/>
  </numFmts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4" fontId="0" fillId="0" borderId="0" xfId="0" applyNumberFormat="1"/>
    <xf numFmtId="2" fontId="0" fillId="0" borderId="0" xfId="0" applyNumberFormat="1"/>
    <xf numFmtId="2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4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right"/>
    </xf>
    <xf numFmtId="4" fontId="1" fillId="0" borderId="0" xfId="0" applyNumberFormat="1" applyFont="1"/>
    <xf numFmtId="4" fontId="1" fillId="0" borderId="0" xfId="0" applyNumberFormat="1" applyFont="1" applyAlignment="1">
      <alignment horizontal="right"/>
    </xf>
    <xf numFmtId="2" fontId="1" fillId="0" borderId="0" xfId="0" applyNumberFormat="1" applyFont="1" applyAlignment="1">
      <alignment horizontal="right"/>
    </xf>
    <xf numFmtId="9" fontId="1" fillId="0" borderId="0" xfId="0" applyNumberFormat="1" applyFont="1" applyAlignment="1">
      <alignment horizontal="right"/>
    </xf>
    <xf numFmtId="0" fontId="2" fillId="0" borderId="0" xfId="0" applyFont="1"/>
    <xf numFmtId="0" fontId="3" fillId="0" borderId="0" xfId="0" applyFont="1"/>
    <xf numFmtId="2" fontId="4" fillId="0" borderId="0" xfId="0" applyNumberFormat="1" applyFont="1"/>
    <xf numFmtId="164" fontId="4" fillId="0" borderId="0" xfId="0" applyNumberFormat="1" applyFont="1"/>
    <xf numFmtId="165" fontId="0" fillId="0" borderId="0" xfId="0" applyNumberFormat="1" applyAlignment="1">
      <alignment horizontal="right"/>
    </xf>
    <xf numFmtId="2" fontId="4" fillId="0" borderId="0" xfId="0" applyNumberFormat="1" applyFont="1" applyAlignment="1">
      <alignment horizontal="right"/>
    </xf>
    <xf numFmtId="49" fontId="1" fillId="0" borderId="0" xfId="0" applyNumberFormat="1" applyFont="1" applyAlignment="1">
      <alignment horizontal="left"/>
    </xf>
  </cellXfs>
  <cellStyles count="1">
    <cellStyle name="Standard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494A1-43BE-0649-8BED-FA1A81D13F80}">
  <dimension ref="A6:I42"/>
  <sheetViews>
    <sheetView zoomScale="130" zoomScaleNormal="130" workbookViewId="0"/>
  </sheetViews>
  <sheetFormatPr baseColWidth="10" defaultRowHeight="16" x14ac:dyDescent="0.2"/>
  <cols>
    <col min="1" max="1" width="33.1640625" bestFit="1" customWidth="1"/>
    <col min="2" max="2" width="31" bestFit="1" customWidth="1"/>
    <col min="3" max="3" width="28.5" bestFit="1" customWidth="1"/>
    <col min="4" max="4" width="28.1640625" bestFit="1" customWidth="1"/>
    <col min="5" max="5" width="12.6640625" bestFit="1" customWidth="1"/>
    <col min="6" max="6" width="28.5" bestFit="1" customWidth="1"/>
    <col min="7" max="7" width="22.5" bestFit="1" customWidth="1"/>
    <col min="8" max="8" width="23.1640625" bestFit="1" customWidth="1"/>
    <col min="9" max="9" width="19.6640625" bestFit="1" customWidth="1"/>
  </cols>
  <sheetData>
    <row r="6" spans="1:9" ht="21" x14ac:dyDescent="0.25">
      <c r="A6" s="14" t="s">
        <v>44</v>
      </c>
    </row>
    <row r="7" spans="1:9" s="9" customFormat="1" x14ac:dyDescent="0.2">
      <c r="A7" s="9" t="s">
        <v>2</v>
      </c>
      <c r="B7" s="9" t="s">
        <v>21</v>
      </c>
      <c r="C7" s="9" t="s">
        <v>22</v>
      </c>
      <c r="D7" s="9" t="s">
        <v>7</v>
      </c>
      <c r="E7" s="9" t="s">
        <v>1</v>
      </c>
      <c r="F7" s="9" t="s">
        <v>3</v>
      </c>
      <c r="G7" s="9" t="s">
        <v>23</v>
      </c>
      <c r="H7" s="9" t="s">
        <v>24</v>
      </c>
      <c r="I7" s="9" t="s">
        <v>28</v>
      </c>
    </row>
    <row r="8" spans="1:9" s="4" customFormat="1" x14ac:dyDescent="0.2">
      <c r="A8" s="5">
        <v>17218</v>
      </c>
      <c r="B8" s="4">
        <v>700</v>
      </c>
      <c r="C8" s="4">
        <v>80</v>
      </c>
      <c r="D8" s="3">
        <f>C8/B8*100</f>
        <v>11.428571428571429</v>
      </c>
      <c r="E8" s="4">
        <v>52</v>
      </c>
      <c r="F8" s="6">
        <f>A8/B8/E8</f>
        <v>0.47302197802197798</v>
      </c>
      <c r="G8" s="4">
        <v>0.25</v>
      </c>
      <c r="H8" s="3">
        <f>ROUNDUP(A8/B8,0)*G8</f>
        <v>6.25</v>
      </c>
      <c r="I8" s="4" t="str">
        <f>LEFT(H8,LEN(H8)-3)&amp;":"&amp;ROUNDUP(RIGHT(H8,2)/100*60,0)</f>
        <v>6:15</v>
      </c>
    </row>
    <row r="9" spans="1:9" s="4" customFormat="1" x14ac:dyDescent="0.2">
      <c r="B9" s="6"/>
    </row>
    <row r="10" spans="1:9" ht="21" x14ac:dyDescent="0.25">
      <c r="A10" s="14" t="s">
        <v>36</v>
      </c>
      <c r="B10" s="1"/>
      <c r="D10" s="2"/>
    </row>
    <row r="11" spans="1:9" s="8" customFormat="1" ht="19" x14ac:dyDescent="0.25">
      <c r="A11" s="15" t="s">
        <v>9</v>
      </c>
      <c r="B11" s="10" t="s">
        <v>12</v>
      </c>
      <c r="C11" s="9" t="s">
        <v>39</v>
      </c>
      <c r="D11" s="20" t="s">
        <v>43</v>
      </c>
    </row>
    <row r="12" spans="1:9" s="9" customFormat="1" x14ac:dyDescent="0.2">
      <c r="A12" s="9" t="s">
        <v>30</v>
      </c>
      <c r="B12" s="11" t="s">
        <v>31</v>
      </c>
      <c r="C12" s="9" t="s">
        <v>41</v>
      </c>
      <c r="D12" s="9" t="s">
        <v>32</v>
      </c>
      <c r="E12" s="9" t="s">
        <v>10</v>
      </c>
      <c r="F12" s="12" t="s">
        <v>33</v>
      </c>
      <c r="G12" s="9" t="s">
        <v>34</v>
      </c>
      <c r="H12" s="9" t="s">
        <v>40</v>
      </c>
    </row>
    <row r="13" spans="1:9" s="4" customFormat="1" x14ac:dyDescent="0.2">
      <c r="A13" s="4">
        <v>380</v>
      </c>
      <c r="B13" s="5">
        <v>363</v>
      </c>
      <c r="C13" s="4">
        <f>B13*63.3608815426997%</f>
        <v>229.99999999999991</v>
      </c>
      <c r="D13" s="4">
        <f>C13*70%</f>
        <v>160.99999999999994</v>
      </c>
      <c r="E13" s="4">
        <f>IF((ROUNDUP((A13-(C13*0.9))/D13,0)*2)&lt;=0,0,ROUNDUP((A13-(C13*0.9))/D13,0)*2)</f>
        <v>4</v>
      </c>
      <c r="F13" s="3">
        <v>1</v>
      </c>
      <c r="G13" s="3">
        <f>E13*F13</f>
        <v>4</v>
      </c>
      <c r="H13" s="3">
        <f>IF(ROUNDUP(LEFT(D11,LEN(D11)-3),0)&gt;=5,G13-ROUNDUP(LEFT(D11,LEN(D11)-3)/6,0)*F13+F13,G13)</f>
        <v>4</v>
      </c>
    </row>
    <row r="14" spans="1:9" s="8" customFormat="1" ht="19" x14ac:dyDescent="0.25">
      <c r="A14" s="15" t="s">
        <v>11</v>
      </c>
      <c r="B14" s="11" t="s">
        <v>14</v>
      </c>
      <c r="C14" s="9" t="s">
        <v>39</v>
      </c>
      <c r="D14" s="20" t="s">
        <v>38</v>
      </c>
    </row>
    <row r="15" spans="1:9" s="9" customFormat="1" x14ac:dyDescent="0.2">
      <c r="A15" s="9" t="s">
        <v>30</v>
      </c>
      <c r="B15" s="11" t="s">
        <v>31</v>
      </c>
      <c r="C15" s="9" t="s">
        <v>42</v>
      </c>
      <c r="D15" s="9" t="s">
        <v>32</v>
      </c>
      <c r="E15" s="9" t="s">
        <v>10</v>
      </c>
      <c r="F15" s="12" t="s">
        <v>33</v>
      </c>
      <c r="G15" s="9" t="s">
        <v>34</v>
      </c>
    </row>
    <row r="16" spans="1:9" s="4" customFormat="1" x14ac:dyDescent="0.2">
      <c r="A16" s="4">
        <v>804</v>
      </c>
      <c r="B16" s="5">
        <f>B13</f>
        <v>363</v>
      </c>
      <c r="C16" s="5">
        <f>B16*77.1349862258953%</f>
        <v>279.99999999999994</v>
      </c>
      <c r="D16" s="4">
        <f>C16*70%</f>
        <v>195.99999999999994</v>
      </c>
      <c r="E16" s="4">
        <f>IF((ROUNDUP((A16-(C16*0.9))/D16,0)*2)&lt;=0,0,ROUNDUP((A16-(C16*0.9))/D16,0)*2)</f>
        <v>6</v>
      </c>
      <c r="F16" s="3">
        <f>F13</f>
        <v>1</v>
      </c>
      <c r="G16" s="3">
        <f>E16*F16</f>
        <v>6</v>
      </c>
      <c r="H16" s="3">
        <f>IF(ROUNDUP(LEFT(D14,LEN(D14)-3),0)&gt;=5,G16-ROUNDUP(LEFT(D14,LEN(D14)-3)/6,0)*F16,G16)</f>
        <v>4</v>
      </c>
    </row>
    <row r="17" spans="1:9" s="8" customFormat="1" ht="19" x14ac:dyDescent="0.25">
      <c r="A17" s="15" t="s">
        <v>13</v>
      </c>
      <c r="B17" s="10" t="s">
        <v>16</v>
      </c>
      <c r="C17" s="9" t="s">
        <v>39</v>
      </c>
      <c r="D17" s="20" t="s">
        <v>37</v>
      </c>
    </row>
    <row r="18" spans="1:9" s="9" customFormat="1" x14ac:dyDescent="0.2">
      <c r="A18" s="9" t="s">
        <v>30</v>
      </c>
      <c r="B18" s="11" t="s">
        <v>31</v>
      </c>
      <c r="C18" s="9" t="s">
        <v>42</v>
      </c>
      <c r="D18" s="9" t="s">
        <v>32</v>
      </c>
      <c r="E18" s="9" t="s">
        <v>10</v>
      </c>
      <c r="F18" s="12" t="s">
        <v>33</v>
      </c>
      <c r="G18" s="9" t="s">
        <v>34</v>
      </c>
    </row>
    <row r="19" spans="1:9" s="4" customFormat="1" x14ac:dyDescent="0.2">
      <c r="A19" s="5">
        <v>1907</v>
      </c>
      <c r="B19" s="5">
        <f>B13</f>
        <v>363</v>
      </c>
      <c r="C19" s="5">
        <f>C16</f>
        <v>279.99999999999994</v>
      </c>
      <c r="D19" s="4">
        <f>C19*70%</f>
        <v>195.99999999999994</v>
      </c>
      <c r="E19" s="4">
        <f>IF((ROUNDUP((A19-(C19*0.9))/D19,0)*2)&lt;=0,0,ROUNDUP((A19-(C19*0.9))/D19,0)*2)</f>
        <v>18</v>
      </c>
      <c r="F19" s="3">
        <f>F13</f>
        <v>1</v>
      </c>
      <c r="G19" s="3">
        <f>E19*F19</f>
        <v>18</v>
      </c>
      <c r="H19" s="3">
        <f>IF(ROUNDUP(LEFT(D17,LEN(D17)-3),0)&gt;=5,G19-ROUNDUP(LEFT(D17,LEN(D17)-3)/6,0)*F19-F16,G19)</f>
        <v>14</v>
      </c>
    </row>
    <row r="20" spans="1:9" x14ac:dyDescent="0.2">
      <c r="B20" s="1"/>
      <c r="F20" s="2"/>
    </row>
    <row r="21" spans="1:9" x14ac:dyDescent="0.2">
      <c r="B21" s="1"/>
      <c r="F21" s="12"/>
      <c r="G21" s="12" t="s">
        <v>15</v>
      </c>
      <c r="H21" s="3">
        <f>H13+H16+H19</f>
        <v>22</v>
      </c>
    </row>
    <row r="22" spans="1:9" x14ac:dyDescent="0.2">
      <c r="B22" s="1"/>
      <c r="F22" s="12"/>
      <c r="G22" s="12" t="s">
        <v>0</v>
      </c>
      <c r="H22" s="16">
        <f>ROUNDUP(H21-H8,2)</f>
        <v>15.75</v>
      </c>
      <c r="I22" s="19" t="str">
        <f>LEFT(H22,LEN(H22)-3)&amp;":"&amp;ROUNDUP(RIGHT(H22,2)/100*60,0)</f>
        <v>15:45</v>
      </c>
    </row>
    <row r="23" spans="1:9" x14ac:dyDescent="0.2">
      <c r="B23" s="1"/>
      <c r="F23" s="12"/>
      <c r="G23" s="2"/>
      <c r="I23" s="2"/>
    </row>
    <row r="24" spans="1:9" x14ac:dyDescent="0.2">
      <c r="B24" s="1"/>
      <c r="F24" s="12"/>
      <c r="G24" s="2"/>
    </row>
    <row r="25" spans="1:9" x14ac:dyDescent="0.2">
      <c r="B25" s="1"/>
      <c r="F25" s="12"/>
      <c r="G25" s="2"/>
    </row>
    <row r="27" spans="1:9" s="9" customFormat="1" x14ac:dyDescent="0.2"/>
    <row r="28" spans="1:9" s="4" customFormat="1" x14ac:dyDescent="0.2"/>
    <row r="29" spans="1:9" s="4" customFormat="1" x14ac:dyDescent="0.2"/>
    <row r="30" spans="1:9" s="4" customFormat="1" x14ac:dyDescent="0.2"/>
    <row r="31" spans="1:9" s="9" customFormat="1" x14ac:dyDescent="0.2"/>
    <row r="32" spans="1:9" s="4" customFormat="1" x14ac:dyDescent="0.2"/>
    <row r="33" s="9" customFormat="1" x14ac:dyDescent="0.2"/>
    <row r="34" s="4" customFormat="1" x14ac:dyDescent="0.2"/>
    <row r="35" s="4" customFormat="1" x14ac:dyDescent="0.2"/>
    <row r="36" s="9" customFormat="1" x14ac:dyDescent="0.2"/>
    <row r="37" s="4" customFormat="1" x14ac:dyDescent="0.2"/>
    <row r="38" s="4" customFormat="1" x14ac:dyDescent="0.2"/>
    <row r="39" s="4" customFormat="1" x14ac:dyDescent="0.2"/>
    <row r="40" s="4" customFormat="1" x14ac:dyDescent="0.2"/>
    <row r="41" s="4" customFormat="1" x14ac:dyDescent="0.2"/>
    <row r="42" s="4" customFormat="1" x14ac:dyDescent="0.2"/>
  </sheetData>
  <conditionalFormatting sqref="H22">
    <cfRule type="expression" dxfId="9" priority="5">
      <formula>$G$22&lt;=0</formula>
    </cfRule>
    <cfRule type="expression" dxfId="8" priority="6">
      <formula>$G$22&gt;0</formula>
    </cfRule>
  </conditionalFormatting>
  <conditionalFormatting sqref="H22">
    <cfRule type="expression" dxfId="7" priority="3">
      <formula>$G$22&lt;=0</formula>
    </cfRule>
    <cfRule type="expression" dxfId="6" priority="4">
      <formula>$G$22&gt;0</formula>
    </cfRule>
  </conditionalFormatting>
  <conditionalFormatting sqref="I22">
    <cfRule type="expression" dxfId="5" priority="1">
      <formula>$G$22&lt;=0</formula>
    </cfRule>
    <cfRule type="expression" dxfId="4" priority="2">
      <formula>$G$22&gt;0</formula>
    </cfRule>
  </conditionalFormatting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E8811-B084-3849-BB98-E9FAA03E9F77}">
  <dimension ref="A6:H22"/>
  <sheetViews>
    <sheetView tabSelected="1" zoomScale="130" zoomScaleNormal="130" workbookViewId="0"/>
  </sheetViews>
  <sheetFormatPr baseColWidth="10" defaultRowHeight="16" x14ac:dyDescent="0.2"/>
  <cols>
    <col min="1" max="1" width="33.1640625" bestFit="1" customWidth="1"/>
    <col min="2" max="2" width="23.83203125" bestFit="1" customWidth="1"/>
    <col min="3" max="3" width="28.33203125" bestFit="1" customWidth="1"/>
    <col min="4" max="4" width="11" bestFit="1" customWidth="1"/>
    <col min="5" max="5" width="17.6640625" bestFit="1" customWidth="1"/>
    <col min="6" max="6" width="12.33203125" bestFit="1" customWidth="1"/>
    <col min="7" max="7" width="11" customWidth="1"/>
    <col min="8" max="8" width="13.6640625" customWidth="1"/>
  </cols>
  <sheetData>
    <row r="6" spans="1:8" ht="21" x14ac:dyDescent="0.25">
      <c r="A6" s="14" t="s">
        <v>44</v>
      </c>
      <c r="B6" s="1"/>
      <c r="F6" s="2"/>
    </row>
    <row r="7" spans="1:8" x14ac:dyDescent="0.2">
      <c r="A7" s="9" t="s">
        <v>2</v>
      </c>
      <c r="B7" s="9" t="s">
        <v>7</v>
      </c>
      <c r="C7" s="9" t="s">
        <v>4</v>
      </c>
      <c r="D7" s="9" t="s">
        <v>5</v>
      </c>
      <c r="E7" s="9"/>
      <c r="F7" s="9"/>
      <c r="G7" s="9"/>
    </row>
    <row r="8" spans="1:8" x14ac:dyDescent="0.2">
      <c r="A8" s="5">
        <f>Zeitaufwand!A8</f>
        <v>17218</v>
      </c>
      <c r="B8" s="3">
        <f>Zeitaufwand!D8</f>
        <v>11.428571428571429</v>
      </c>
      <c r="C8" s="18">
        <v>1.4053</v>
      </c>
      <c r="D8" s="7">
        <f>A8/100*B8*C8</f>
        <v>2765.3091885714289</v>
      </c>
      <c r="E8" s="4"/>
      <c r="F8" s="4"/>
      <c r="G8" s="4"/>
    </row>
    <row r="9" spans="1:8" x14ac:dyDescent="0.2">
      <c r="A9" s="5"/>
      <c r="B9" s="3"/>
      <c r="C9" s="4"/>
      <c r="D9" s="7"/>
      <c r="E9" s="4"/>
      <c r="F9" s="4"/>
      <c r="G9" s="4"/>
    </row>
    <row r="10" spans="1:8" ht="21" x14ac:dyDescent="0.25">
      <c r="A10" s="14" t="s">
        <v>36</v>
      </c>
      <c r="B10" s="3"/>
      <c r="C10" s="4"/>
      <c r="D10" s="7"/>
      <c r="E10" s="4"/>
      <c r="F10" s="4"/>
      <c r="G10" s="4"/>
    </row>
    <row r="11" spans="1:8" x14ac:dyDescent="0.2">
      <c r="A11" s="9" t="s">
        <v>2</v>
      </c>
      <c r="B11" s="9" t="s">
        <v>8</v>
      </c>
      <c r="C11" s="9" t="s">
        <v>6</v>
      </c>
      <c r="D11" s="9" t="s">
        <v>25</v>
      </c>
      <c r="E11" s="9" t="s">
        <v>17</v>
      </c>
      <c r="F11" s="9"/>
      <c r="G11" s="13">
        <v>0.3</v>
      </c>
      <c r="H11" s="9" t="s">
        <v>26</v>
      </c>
    </row>
    <row r="12" spans="1:8" x14ac:dyDescent="0.2">
      <c r="A12" s="5">
        <f>Zeitaufwand!A8</f>
        <v>17218</v>
      </c>
      <c r="B12" s="3">
        <f>90/((Zeitaufwand!C13+Zeitaufwand!C16)/2)*100</f>
        <v>35.294117647058833</v>
      </c>
      <c r="C12" s="18">
        <v>0.26750000000000002</v>
      </c>
      <c r="D12" s="7">
        <f>A12/100*B12*C12</f>
        <v>1625.581764705883</v>
      </c>
      <c r="E12" s="7">
        <f>((A12-(Zeitaufwand!A13*2))/100*B12*C12)</f>
        <v>1553.8288235294124</v>
      </c>
      <c r="F12" s="4"/>
      <c r="G12" s="7">
        <f>((A12-(Zeitaufwand!A13*2))/100*B12*C12)*G11</f>
        <v>466.14864705882371</v>
      </c>
    </row>
    <row r="13" spans="1:8" x14ac:dyDescent="0.2">
      <c r="A13" s="9" t="s">
        <v>2</v>
      </c>
      <c r="B13" s="9" t="s">
        <v>8</v>
      </c>
      <c r="C13" s="9" t="s">
        <v>6</v>
      </c>
      <c r="D13" s="9" t="s">
        <v>25</v>
      </c>
      <c r="E13" s="9" t="s">
        <v>18</v>
      </c>
      <c r="F13" s="9"/>
      <c r="G13" s="13">
        <f>100%-G11</f>
        <v>0.7</v>
      </c>
      <c r="H13" s="9" t="s">
        <v>27</v>
      </c>
    </row>
    <row r="14" spans="1:8" x14ac:dyDescent="0.2">
      <c r="A14" s="5">
        <f>Zeitaufwand!A8</f>
        <v>17218</v>
      </c>
      <c r="B14" s="3">
        <f>B12</f>
        <v>35.294117647058833</v>
      </c>
      <c r="C14" s="7">
        <v>0.11</v>
      </c>
      <c r="D14" s="7">
        <f>A14/100*B14*C14</f>
        <v>668.46352941176497</v>
      </c>
      <c r="E14" s="7">
        <f>((A14-((Zeitaufwand!A16+Zeitaufwand!A19)*2))/100*B14*C14)</f>
        <v>457.96235294117656</v>
      </c>
      <c r="F14" s="4"/>
      <c r="G14" s="7">
        <f>((A14-((Zeitaufwand!A16+Zeitaufwand!A19)*2))/100*B14*C14)*G13</f>
        <v>320.57364705882355</v>
      </c>
    </row>
    <row r="15" spans="1:8" x14ac:dyDescent="0.2">
      <c r="A15" s="4"/>
      <c r="B15" s="4"/>
      <c r="C15" s="4"/>
      <c r="D15" s="4"/>
      <c r="E15" s="4"/>
      <c r="F15" s="4"/>
      <c r="G15" s="7"/>
    </row>
    <row r="16" spans="1:8" x14ac:dyDescent="0.2">
      <c r="A16" s="9" t="s">
        <v>35</v>
      </c>
      <c r="B16" s="9" t="s">
        <v>19</v>
      </c>
      <c r="C16" s="9" t="s">
        <v>29</v>
      </c>
      <c r="D16" s="9"/>
      <c r="E16" s="9"/>
      <c r="F16" s="9"/>
      <c r="G16" s="9"/>
    </row>
    <row r="17" spans="1:7" x14ac:dyDescent="0.2">
      <c r="A17" s="5">
        <f>(Zeitaufwand!E13+Zeitaufwand!E16+Zeitaufwand!E19)*Zeitaufwand!D13</f>
        <v>4507.9999999999982</v>
      </c>
      <c r="B17" s="5">
        <f>A17/100*B12</f>
        <v>1591.0588235294117</v>
      </c>
      <c r="C17" s="7">
        <f>B17*0.79</f>
        <v>1256.9364705882354</v>
      </c>
      <c r="D17" s="4"/>
      <c r="E17" s="4"/>
      <c r="F17" s="4"/>
      <c r="G17" s="7">
        <f>C17</f>
        <v>1256.9364705882354</v>
      </c>
    </row>
    <row r="18" spans="1:7" x14ac:dyDescent="0.2">
      <c r="A18" s="4"/>
      <c r="B18" s="4"/>
      <c r="C18" s="4"/>
      <c r="D18" s="4"/>
      <c r="E18" s="4"/>
      <c r="F18" s="4"/>
      <c r="G18" s="4"/>
    </row>
    <row r="19" spans="1:7" x14ac:dyDescent="0.2">
      <c r="A19" s="4"/>
      <c r="B19" s="4"/>
      <c r="C19" s="4"/>
      <c r="D19" s="4"/>
      <c r="E19" s="4"/>
      <c r="F19" s="9" t="s">
        <v>15</v>
      </c>
      <c r="G19" s="7">
        <f>G12+G14+G17</f>
        <v>2043.6587647058827</v>
      </c>
    </row>
    <row r="20" spans="1:7" x14ac:dyDescent="0.2">
      <c r="A20" s="4"/>
      <c r="B20" s="4"/>
      <c r="C20" s="4"/>
      <c r="D20" s="4"/>
      <c r="E20" s="4"/>
      <c r="F20" s="9" t="s">
        <v>0</v>
      </c>
      <c r="G20" s="17">
        <f>G19-D8</f>
        <v>-721.65042386554614</v>
      </c>
    </row>
    <row r="21" spans="1:7" x14ac:dyDescent="0.2">
      <c r="A21" s="4"/>
      <c r="B21" s="4"/>
      <c r="C21" s="4"/>
      <c r="D21" s="4"/>
      <c r="E21" s="4"/>
      <c r="F21" s="9"/>
      <c r="G21" s="4"/>
    </row>
    <row r="22" spans="1:7" x14ac:dyDescent="0.2">
      <c r="A22" s="4"/>
      <c r="B22" s="4"/>
      <c r="C22" s="4"/>
      <c r="D22" s="4"/>
      <c r="E22" s="4"/>
      <c r="F22" s="9" t="s">
        <v>20</v>
      </c>
      <c r="G22" s="17">
        <f>G20/Zeitaufwand!H22</f>
        <v>-45.819074531145787</v>
      </c>
    </row>
  </sheetData>
  <conditionalFormatting sqref="G20">
    <cfRule type="expression" dxfId="3" priority="3">
      <formula>$G$40&lt;=0</formula>
    </cfRule>
    <cfRule type="expression" dxfId="2" priority="4">
      <formula>$G$40&gt;0</formula>
    </cfRule>
  </conditionalFormatting>
  <conditionalFormatting sqref="G22">
    <cfRule type="expression" dxfId="1" priority="1">
      <formula>$G$40&lt;=0</formula>
    </cfRule>
    <cfRule type="expression" dxfId="0" priority="2">
      <formula>$G$40&gt;0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Zeitaufwand</vt:lpstr>
      <vt:lpstr>Kosten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Hentschke</dc:creator>
  <cp:lastModifiedBy>Stefan Hentschke</cp:lastModifiedBy>
  <dcterms:created xsi:type="dcterms:W3CDTF">2021-09-22T11:32:04Z</dcterms:created>
  <dcterms:modified xsi:type="dcterms:W3CDTF">2021-09-23T10:39:30Z</dcterms:modified>
</cp:coreProperties>
</file>